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696D71D3-5156-4806-8D97-21B2C24DE3A8}" xr6:coauthVersionLast="47" xr6:coauthVersionMax="47" xr10:uidLastSave="{00000000-0000-0000-0000-000000000000}"/>
  <bookViews>
    <workbookView xWindow="-108" yWindow="-108" windowWidth="23256" windowHeight="12456" xr2:uid="{85E75308-6983-4DAF-B936-DF0595ACC3F8}"/>
  </bookViews>
  <sheets>
    <sheet name="Om filen" sheetId="1" r:id="rId1"/>
    <sheet name="Opsætning" sheetId="2" r:id="rId2"/>
    <sheet name="Kassebog" sheetId="3" r:id="rId3"/>
    <sheet name="Pr. konto" sheetId="4" r:id="rId4"/>
    <sheet name="Pr. måned" sheetId="5" r:id="rId5"/>
    <sheet name="Kontro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7" i="6" l="1"/>
  <c r="B16" i="6"/>
  <c r="B15" i="6"/>
  <c r="B14" i="6" a="1"/>
  <c r="B14" i="6" s="1"/>
  <c r="B4" i="6"/>
  <c r="B3" i="6"/>
  <c r="B2" i="6"/>
  <c r="B5" i="6" s="1"/>
  <c r="B13" i="6" s="1"/>
  <c r="D11" i="5"/>
  <c r="D13" i="5"/>
  <c r="C2" i="5"/>
  <c r="C3" i="5"/>
  <c r="C4" i="5"/>
  <c r="C5" i="5"/>
  <c r="C6" i="5"/>
  <c r="C7" i="5"/>
  <c r="C8" i="5"/>
  <c r="C9" i="5"/>
  <c r="C10" i="5"/>
  <c r="C11" i="5"/>
  <c r="C12" i="5"/>
  <c r="C13" i="5"/>
  <c r="B2" i="5"/>
  <c r="D2" i="5" s="1"/>
  <c r="B3" i="5"/>
  <c r="D3" i="5" s="1"/>
  <c r="B4" i="5"/>
  <c r="D4" i="5" s="1"/>
  <c r="B5" i="5"/>
  <c r="D5" i="5" s="1"/>
  <c r="B6" i="5"/>
  <c r="D6" i="5" s="1"/>
  <c r="B7" i="5"/>
  <c r="D7" i="5" s="1"/>
  <c r="B8" i="5"/>
  <c r="D8" i="5" s="1"/>
  <c r="B9" i="5"/>
  <c r="D9" i="5" s="1"/>
  <c r="B10" i="5"/>
  <c r="D10" i="5" s="1"/>
  <c r="B11" i="5"/>
  <c r="B12" i="5"/>
  <c r="D12" i="5" s="1"/>
  <c r="B13" i="5"/>
  <c r="D2" i="4"/>
  <c r="D3" i="4"/>
  <c r="D4" i="4"/>
  <c r="E4" i="4" s="1"/>
  <c r="D5" i="4"/>
  <c r="D6" i="4"/>
  <c r="D7" i="4"/>
  <c r="D8" i="4"/>
  <c r="C2" i="4"/>
  <c r="C9" i="4" s="1"/>
  <c r="C3" i="4"/>
  <c r="E3" i="4" s="1"/>
  <c r="C4" i="4"/>
  <c r="C5" i="4"/>
  <c r="E5" i="4" s="1"/>
  <c r="C6" i="4"/>
  <c r="E6" i="4" s="1"/>
  <c r="C7" i="4"/>
  <c r="E7" i="4" s="1"/>
  <c r="C8" i="4"/>
  <c r="E8" i="4" s="1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B6" i="6" s="1" a="1"/>
  <c r="B6" i="6" s="1"/>
  <c r="D14" i="5" l="1"/>
  <c r="B11" i="6" s="1"/>
  <c r="E2" i="5"/>
  <c r="E3" i="5"/>
  <c r="E4" i="5"/>
  <c r="E8" i="5"/>
  <c r="E5" i="5"/>
  <c r="E6" i="5"/>
  <c r="E7" i="5"/>
  <c r="E9" i="5"/>
  <c r="E10" i="5"/>
  <c r="E11" i="5"/>
  <c r="E12" i="5"/>
  <c r="E13" i="5"/>
  <c r="B20" i="6"/>
  <c r="B12" i="6"/>
  <c r="C14" i="5"/>
  <c r="B14" i="5"/>
  <c r="D9" i="4"/>
  <c r="E2" i="4"/>
  <c r="E9" i="4" s="1"/>
  <c r="B21" i="6" l="1"/>
  <c r="B19" i="6"/>
  <c r="B10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<sst xmlns="http://schemas.openxmlformats.org/spreadsheetml/2006/main" count="134" uniqueCount="101">
  <si>
    <t>Kassebog for en lille forening</t>
  </si>
  <si>
    <t>Hører til guiden 'Kassebog for en lille forening i Excel: et gennemarbejdet eksempel' på Excelformel.dk.</t>
  </si>
  <si>
    <t>Foreningen 'Grundejerforeningen Kløverstien' og alle posteringer er opdigtede.</t>
  </si>
  <si>
    <t>Arket 'Opsætning': skriv primosaldoen i B4.</t>
  </si>
  <si>
    <t>Arket 'Kassebog': tabellen Posteringer. Skriv nye posteringer i første tomme række under tabellen, så udvider tabellen sig, og saldoen regnes med.</t>
  </si>
  <si>
    <t>Arket 'Pr. konto': indtægter, udgifter og netto pr. konto med SUM.HVISER. Tilføj nye konti i kolonne A.</t>
  </si>
  <si>
    <t>Arket 'Pr. måned': indtægter, udgifter og saldo ultimo pr. måned.</t>
  </si>
  <si>
    <t>Arket 'Kontrol': afstemning mod kontoudtog og tjek for ukendte konti, manglende datoer og beløb gemt som tekst.</t>
  </si>
  <si>
    <t>Filen er et regnearkseksempel, ikke regnskabsrådgivning. Følg foreningens vedtægter og de regler, der gælder for jeres forening.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</si>
  <si>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</si>
  <si>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</si>
  <si>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</si>
  <si>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</si>
  <si>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Forening</t>
  </si>
  <si>
    <t>Grundejerforeningen Kløverstien (opdigtet eksempel)</t>
  </si>
  <si>
    <t>Regnskabsår</t>
  </si>
  <si>
    <t>Primodato</t>
  </si>
  <si>
    <t>Primosaldo (bank)</t>
  </si>
  <si>
    <t>Skriv primosaldoen fra sidste års regnskab i B4. Posteringerne skrives i tabellen på arket Kassebog.</t>
  </si>
  <si>
    <t>Dato</t>
  </si>
  <si>
    <t>Bilag</t>
  </si>
  <si>
    <t>Tekst</t>
  </si>
  <si>
    <t>Konto</t>
  </si>
  <si>
    <t>Indtægt</t>
  </si>
  <si>
    <t>Udgift</t>
  </si>
  <si>
    <t>Saldo</t>
  </si>
  <si>
    <t>B1</t>
  </si>
  <si>
    <t>Forsikring 2026</t>
  </si>
  <si>
    <t>Forsikring</t>
  </si>
  <si>
    <t>B2</t>
  </si>
  <si>
    <t>Kontingent 1. halvår, 12 parceller</t>
  </si>
  <si>
    <t>Kontingent</t>
  </si>
  <si>
    <t>B3</t>
  </si>
  <si>
    <t>Bankgebyr januar</t>
  </si>
  <si>
    <t>Bankgebyrer</t>
  </si>
  <si>
    <t>B4</t>
  </si>
  <si>
    <t>Kontingent, restance parcel 7</t>
  </si>
  <si>
    <t>B5</t>
  </si>
  <si>
    <t>Bankgebyr februar</t>
  </si>
  <si>
    <t>B6</t>
  </si>
  <si>
    <t>Grus til fællesvejen</t>
  </si>
  <si>
    <t>Vedligeholdelse</t>
  </si>
  <si>
    <t>B7</t>
  </si>
  <si>
    <t>Generalforsamling, kaffe og kage</t>
  </si>
  <si>
    <t>Administration</t>
  </si>
  <si>
    <t>B8</t>
  </si>
  <si>
    <t>Bankgebyr marts</t>
  </si>
  <si>
    <t>B9</t>
  </si>
  <si>
    <t>Webhotel og domæne</t>
  </si>
  <si>
    <t>B10</t>
  </si>
  <si>
    <t>Arbejdsdag, pølser og drikkevarer</t>
  </si>
  <si>
    <t>Arrangementer</t>
  </si>
  <si>
    <t>B11</t>
  </si>
  <si>
    <t>Sankthans, salg af billetter</t>
  </si>
  <si>
    <t>B12</t>
  </si>
  <si>
    <t>Sankthans, bål og musik</t>
  </si>
  <si>
    <t>B13</t>
  </si>
  <si>
    <t>Bankgebyr 2. kvartal</t>
  </si>
  <si>
    <t>B14</t>
  </si>
  <si>
    <t>Kontingent 2. halvår, 12 parceller</t>
  </si>
  <si>
    <t>B15</t>
  </si>
  <si>
    <t>Beskæring af fælleshæk</t>
  </si>
  <si>
    <t>B16</t>
  </si>
  <si>
    <t>Bankgebyr 3. kvartal</t>
  </si>
  <si>
    <t>B17</t>
  </si>
  <si>
    <t>Tilbagebetaling, dobbelt kontingent parcel 3</t>
  </si>
  <si>
    <t>B18</t>
  </si>
  <si>
    <t>Vejbelysning, reparation</t>
  </si>
  <si>
    <t>B19</t>
  </si>
  <si>
    <t>Julehygge, gløgg og æbleskiver</t>
  </si>
  <si>
    <t>B20</t>
  </si>
  <si>
    <t>Renter</t>
  </si>
  <si>
    <t>B21</t>
  </si>
  <si>
    <t>Bankgebyr 4. kvartal</t>
  </si>
  <si>
    <t>Type</t>
  </si>
  <si>
    <t>Indtægter</t>
  </si>
  <si>
    <t>Udgifter</t>
  </si>
  <si>
    <t>Netto</t>
  </si>
  <si>
    <t>Indtægt og udgift</t>
  </si>
  <si>
    <t>I alt</t>
  </si>
  <si>
    <t>Måned</t>
  </si>
  <si>
    <t>Saldo ultimo</t>
  </si>
  <si>
    <t>Tal</t>
  </si>
  <si>
    <t>Beløb</t>
  </si>
  <si>
    <t>Primosaldo</t>
  </si>
  <si>
    <t>Indtægter i alt</t>
  </si>
  <si>
    <t>Udgifter i alt</t>
  </si>
  <si>
    <t>Beregnet ultimosaldo</t>
  </si>
  <si>
    <t>Sidste løbende saldo i kassebogen</t>
  </si>
  <si>
    <t>Saldo ifølge kontoudtog (skriv selv)</t>
  </si>
  <si>
    <t>Kontrol</t>
  </si>
  <si>
    <t>Resultat</t>
  </si>
  <si>
    <t>Konti summer til det samme som kassebogen</t>
  </si>
  <si>
    <t>Måneder summer til det samme som kassebogen</t>
  </si>
  <si>
    <t>Løbende saldo = beregnet ultimosaldo</t>
  </si>
  <si>
    <t>Kassebog = kontoudtog</t>
  </si>
  <si>
    <t>Posteringer med ukendt konto</t>
  </si>
  <si>
    <t>Posteringer uden dato</t>
  </si>
  <si>
    <t>Beløb gemt som tekst</t>
  </si>
  <si>
    <t>Rækker med både indtægt og udgift</t>
  </si>
  <si>
    <t>Til sammenligning: kontrol uden AFRUND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</si>
</sst>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14" fontId="0" fillId="0" borderId="0" xfId="0" applyNumberFormat="1"/>
    <xf numFmtId="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5"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2928B7-BA01-4F5A-855A-2C9452E5727F}" name="Posteringer" displayName="Posteringer" ref="A1:G22" totalsRowShown="0" headerRowDxfId="0">
  <autoFilter ref="A1:G22" xr:uid="{CB2928B7-BA01-4F5A-855A-2C9452E5727F}"/>
  <tableColumns count="7">
    <tableColumn id="1" xr3:uid="{DD80585C-550E-41E3-8B08-E0C3C9156AD6}" name="Dato" dataDxfId="4"/>
    <tableColumn id="2" xr3:uid="{2EA215C4-5EBB-4A7D-8338-1BBEE767FD29}" name="Bilag"/>
    <tableColumn id="3" xr3:uid="{0E0656A5-A3A5-4C12-9295-E4814295D2FD}" name="Tekst"/>
    <tableColumn id="4" xr3:uid="{1BF2F510-276A-41F3-8D19-AE4A70A1DE4B}" name="Konto"/>
    <tableColumn id="5" xr3:uid="{91209077-B4A6-4F13-9B63-E6C795FF4EDA}" name="Indtægt" dataDxfId="3"/>
    <tableColumn id="6" xr3:uid="{10C5E4A2-5B52-4234-8996-1569136018CA}" name="Udgift" dataDxfId="2"/>
    <tableColumn id="7" xr3:uid="{09F42D8C-F755-4799-B64F-F72196EC0D63}" name="Saldo" dataDxfId="1">
      <calculatedColumnFormula>Opsætning!$B$4+SUM(Posteringer[[#Headers],[Indtægt]]:Posteringer[[#This Row],[Indtægt]])-SUM(Posteringer[[#Headers],[Udgift]]:Posteringer[[#This Row],[Udgift]])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133E-CAEA-4136-AF97-5EE2D3814468}">
  <dimension ref="A1:A15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A1D6-4D05-4DC2-AD13-A33079B64627}">
  <dimension ref="A1:B6"/>
  <sheetViews>
    <sheetView workbookViewId="0"/>
  </sheetViews>
  <sheetFormatPr defaultRowHeight="14.4" x14ac:dyDescent="0.3"/>
  <cols>
    <col min="1" max="1" width="20.77734375" customWidth="1"/>
    <col min="2" max="2" width="50.77734375" customWidth="1"/>
  </cols>
  <sheetData>
    <row r="1" spans="1:2" x14ac:dyDescent="0.3">
      <c r="A1" s="1" t="s">
        <v>13</v>
      </c>
      <c r="B1" t="s">
        <v>14</v>
      </c>
    </row>
    <row r="2" spans="1:2" x14ac:dyDescent="0.3">
      <c r="A2" s="1" t="s">
        <v>15</v>
      </c>
      <c r="B2">
        <v>2026</v>
      </c>
    </row>
    <row r="3" spans="1:2" x14ac:dyDescent="0.3">
      <c r="A3" s="1" t="s">
        <v>16</v>
      </c>
      <c r="B3" s="4">
        <v>46023</v>
      </c>
    </row>
    <row r="4" spans="1:2" x14ac:dyDescent="0.3">
      <c r="A4" s="1" t="s">
        <v>17</v>
      </c>
      <c r="B4" s="3">
        <v>18450</v>
      </c>
    </row>
    <row r="6" spans="1:2" x14ac:dyDescent="0.3">
      <c r="A6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C304-A0DE-448B-92E6-C05FCFD73104}">
  <dimension ref="A1:G22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2.77734375" customWidth="1"/>
    <col min="2" max="2" width="7.77734375" customWidth="1"/>
    <col min="3" max="3" width="44.77734375" customWidth="1"/>
    <col min="4" max="4" width="17.77734375" customWidth="1"/>
    <col min="5" max="7" width="12.77734375" customWidth="1"/>
  </cols>
  <sheetData>
    <row r="1" spans="1:7" x14ac:dyDescent="0.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3">
      <c r="A2" s="4">
        <v>46024</v>
      </c>
      <c r="B2" t="s">
        <v>26</v>
      </c>
      <c r="C2" t="s">
        <v>27</v>
      </c>
      <c r="D2" t="s">
        <v>28</v>
      </c>
      <c r="E2" s="3"/>
      <c r="F2" s="3">
        <v>6240</v>
      </c>
      <c r="G2" s="3">
        <f>Opsætning!$B$4+SUM(Posteringer[[#Headers],[Indtægt]]:Posteringer[[#This Row],[Indtægt]])-SUM(Posteringer[[#Headers],[Udgift]]:Posteringer[[#This Row],[Udgift]])</f>
        <v>12210</v>
      </c>
    </row>
    <row r="3" spans="1:7" x14ac:dyDescent="0.3">
      <c r="A3" s="4">
        <v>46037</v>
      </c>
      <c r="B3" t="s">
        <v>29</v>
      </c>
      <c r="C3" t="s">
        <v>30</v>
      </c>
      <c r="D3" t="s">
        <v>31</v>
      </c>
      <c r="E3" s="3">
        <v>9000</v>
      </c>
      <c r="F3" s="3"/>
      <c r="G3" s="3">
        <f>Opsætning!$B$4+SUM(Posteringer[[#Headers],[Indtægt]]:Posteringer[[#This Row],[Indtægt]])-SUM(Posteringer[[#Headers],[Udgift]]:Posteringer[[#This Row],[Udgift]])</f>
        <v>21210</v>
      </c>
    </row>
    <row r="4" spans="1:7" x14ac:dyDescent="0.3">
      <c r="A4" s="4">
        <v>46053</v>
      </c>
      <c r="B4" t="s">
        <v>32</v>
      </c>
      <c r="C4" t="s">
        <v>33</v>
      </c>
      <c r="D4" t="s">
        <v>34</v>
      </c>
      <c r="E4" s="3"/>
      <c r="F4" s="3">
        <v>35</v>
      </c>
      <c r="G4" s="3">
        <f>Opsætning!$B$4+SUM(Posteringer[[#Headers],[Indtægt]]:Posteringer[[#This Row],[Indtægt]])-SUM(Posteringer[[#Headers],[Udgift]]:Posteringer[[#This Row],[Udgift]])</f>
        <v>21175</v>
      </c>
    </row>
    <row r="5" spans="1:7" x14ac:dyDescent="0.3">
      <c r="A5" s="4">
        <v>46065</v>
      </c>
      <c r="B5" t="s">
        <v>35</v>
      </c>
      <c r="C5" t="s">
        <v>36</v>
      </c>
      <c r="D5" t="s">
        <v>31</v>
      </c>
      <c r="E5" s="3">
        <v>750</v>
      </c>
      <c r="F5" s="3"/>
      <c r="G5" s="3">
        <f>Opsætning!$B$4+SUM(Posteringer[[#Headers],[Indtægt]]:Posteringer[[#This Row],[Indtægt]])-SUM(Posteringer[[#Headers],[Udgift]]:Posteringer[[#This Row],[Udgift]])</f>
        <v>21925</v>
      </c>
    </row>
    <row r="6" spans="1:7" x14ac:dyDescent="0.3">
      <c r="A6" s="4">
        <v>46081</v>
      </c>
      <c r="B6" t="s">
        <v>37</v>
      </c>
      <c r="C6" t="s">
        <v>38</v>
      </c>
      <c r="D6" t="s">
        <v>34</v>
      </c>
      <c r="E6" s="3"/>
      <c r="F6" s="3">
        <v>35</v>
      </c>
      <c r="G6" s="3">
        <f>Opsætning!$B$4+SUM(Posteringer[[#Headers],[Indtægt]]:Posteringer[[#This Row],[Indtægt]])-SUM(Posteringer[[#Headers],[Udgift]]:Posteringer[[#This Row],[Udgift]])</f>
        <v>21890</v>
      </c>
    </row>
    <row r="7" spans="1:7" x14ac:dyDescent="0.3">
      <c r="A7" s="4">
        <v>46091</v>
      </c>
      <c r="B7" t="s">
        <v>39</v>
      </c>
      <c r="C7" t="s">
        <v>40</v>
      </c>
      <c r="D7" t="s">
        <v>41</v>
      </c>
      <c r="E7" s="3"/>
      <c r="F7" s="3">
        <v>3187.5</v>
      </c>
      <c r="G7" s="3">
        <f>Opsætning!$B$4+SUM(Posteringer[[#Headers],[Indtægt]]:Posteringer[[#This Row],[Indtægt]])-SUM(Posteringer[[#Headers],[Udgift]]:Posteringer[[#This Row],[Udgift]])</f>
        <v>18702.5</v>
      </c>
    </row>
    <row r="8" spans="1:7" x14ac:dyDescent="0.3">
      <c r="A8" s="4">
        <v>46102</v>
      </c>
      <c r="B8" t="s">
        <v>42</v>
      </c>
      <c r="C8" t="s">
        <v>43</v>
      </c>
      <c r="D8" t="s">
        <v>44</v>
      </c>
      <c r="E8" s="3"/>
      <c r="F8" s="3">
        <v>612.75</v>
      </c>
      <c r="G8" s="3">
        <f>Opsætning!$B$4+SUM(Posteringer[[#Headers],[Indtægt]]:Posteringer[[#This Row],[Indtægt]])-SUM(Posteringer[[#Headers],[Udgift]]:Posteringer[[#This Row],[Udgift]])</f>
        <v>18089.75</v>
      </c>
    </row>
    <row r="9" spans="1:7" x14ac:dyDescent="0.3">
      <c r="A9" s="4">
        <v>46112</v>
      </c>
      <c r="B9" t="s">
        <v>45</v>
      </c>
      <c r="C9" t="s">
        <v>46</v>
      </c>
      <c r="D9" t="s">
        <v>34</v>
      </c>
      <c r="E9" s="3"/>
      <c r="F9" s="3">
        <v>35</v>
      </c>
      <c r="G9" s="3">
        <f>Opsætning!$B$4+SUM(Posteringer[[#Headers],[Indtægt]]:Posteringer[[#This Row],[Indtægt]])-SUM(Posteringer[[#Headers],[Udgift]]:Posteringer[[#This Row],[Udgift]])</f>
        <v>18054.75</v>
      </c>
    </row>
    <row r="10" spans="1:7" x14ac:dyDescent="0.3">
      <c r="A10" s="4">
        <v>46126</v>
      </c>
      <c r="B10" t="s">
        <v>47</v>
      </c>
      <c r="C10" t="s">
        <v>48</v>
      </c>
      <c r="D10" t="s">
        <v>44</v>
      </c>
      <c r="E10" s="3"/>
      <c r="F10" s="3">
        <v>489</v>
      </c>
      <c r="G10" s="3">
        <f>Opsætning!$B$4+SUM(Posteringer[[#Headers],[Indtægt]]:Posteringer[[#This Row],[Indtægt]])-SUM(Posteringer[[#Headers],[Udgift]]:Posteringer[[#This Row],[Udgift]])</f>
        <v>17565.75</v>
      </c>
    </row>
    <row r="11" spans="1:7" x14ac:dyDescent="0.3">
      <c r="A11" s="4">
        <v>46144</v>
      </c>
      <c r="B11" t="s">
        <v>49</v>
      </c>
      <c r="C11" t="s">
        <v>50</v>
      </c>
      <c r="D11" t="s">
        <v>51</v>
      </c>
      <c r="E11" s="3"/>
      <c r="F11" s="3">
        <v>1146.25</v>
      </c>
      <c r="G11" s="3">
        <f>Opsætning!$B$4+SUM(Posteringer[[#Headers],[Indtægt]]:Posteringer[[#This Row],[Indtægt]])-SUM(Posteringer[[#Headers],[Udgift]]:Posteringer[[#This Row],[Udgift]])</f>
        <v>16419.5</v>
      </c>
    </row>
    <row r="12" spans="1:7" x14ac:dyDescent="0.3">
      <c r="A12" s="4">
        <v>46193</v>
      </c>
      <c r="B12" t="s">
        <v>52</v>
      </c>
      <c r="C12" t="s">
        <v>53</v>
      </c>
      <c r="D12" t="s">
        <v>51</v>
      </c>
      <c r="E12" s="3">
        <v>2400</v>
      </c>
      <c r="F12" s="3"/>
      <c r="G12" s="3">
        <f>Opsætning!$B$4+SUM(Posteringer[[#Headers],[Indtægt]]:Posteringer[[#This Row],[Indtægt]])-SUM(Posteringer[[#Headers],[Udgift]]:Posteringer[[#This Row],[Udgift]])</f>
        <v>18819.5</v>
      </c>
    </row>
    <row r="13" spans="1:7" x14ac:dyDescent="0.3">
      <c r="A13" s="4">
        <v>46193</v>
      </c>
      <c r="B13" t="s">
        <v>54</v>
      </c>
      <c r="C13" t="s">
        <v>55</v>
      </c>
      <c r="D13" t="s">
        <v>51</v>
      </c>
      <c r="E13" s="3"/>
      <c r="F13" s="3">
        <v>1850</v>
      </c>
      <c r="G13" s="3">
        <f>Opsætning!$B$4+SUM(Posteringer[[#Headers],[Indtægt]]:Posteringer[[#This Row],[Indtægt]])-SUM(Posteringer[[#Headers],[Udgift]]:Posteringer[[#This Row],[Udgift]])</f>
        <v>16969.5</v>
      </c>
    </row>
    <row r="14" spans="1:7" x14ac:dyDescent="0.3">
      <c r="A14" s="4">
        <v>46203</v>
      </c>
      <c r="B14" t="s">
        <v>56</v>
      </c>
      <c r="C14" t="s">
        <v>57</v>
      </c>
      <c r="D14" t="s">
        <v>34</v>
      </c>
      <c r="E14" s="3"/>
      <c r="F14" s="3">
        <v>105</v>
      </c>
      <c r="G14" s="3">
        <f>Opsætning!$B$4+SUM(Posteringer[[#Headers],[Indtægt]]:Posteringer[[#This Row],[Indtægt]])-SUM(Posteringer[[#Headers],[Udgift]]:Posteringer[[#This Row],[Udgift]])</f>
        <v>16864.5</v>
      </c>
    </row>
    <row r="15" spans="1:7" x14ac:dyDescent="0.3">
      <c r="A15" s="4">
        <v>46218</v>
      </c>
      <c r="B15" t="s">
        <v>58</v>
      </c>
      <c r="C15" t="s">
        <v>59</v>
      </c>
      <c r="D15" t="s">
        <v>31</v>
      </c>
      <c r="E15" s="3">
        <v>9000</v>
      </c>
      <c r="F15" s="3"/>
      <c r="G15" s="3">
        <f>Opsætning!$B$4+SUM(Posteringer[[#Headers],[Indtægt]]:Posteringer[[#This Row],[Indtægt]])-SUM(Posteringer[[#Headers],[Udgift]]:Posteringer[[#This Row],[Udgift]])</f>
        <v>25864.5</v>
      </c>
    </row>
    <row r="16" spans="1:7" x14ac:dyDescent="0.3">
      <c r="A16" s="4">
        <v>46239</v>
      </c>
      <c r="B16" t="s">
        <v>60</v>
      </c>
      <c r="C16" t="s">
        <v>61</v>
      </c>
      <c r="D16" t="s">
        <v>41</v>
      </c>
      <c r="E16" s="3"/>
      <c r="F16" s="3">
        <v>4500</v>
      </c>
      <c r="G16" s="3">
        <f>Opsætning!$B$4+SUM(Posteringer[[#Headers],[Indtægt]]:Posteringer[[#This Row],[Indtægt]])-SUM(Posteringer[[#Headers],[Udgift]]:Posteringer[[#This Row],[Udgift]])</f>
        <v>21364.5</v>
      </c>
    </row>
    <row r="17" spans="1:7" x14ac:dyDescent="0.3">
      <c r="A17" s="4">
        <v>46295</v>
      </c>
      <c r="B17" t="s">
        <v>62</v>
      </c>
      <c r="C17" t="s">
        <v>63</v>
      </c>
      <c r="D17" t="s">
        <v>34</v>
      </c>
      <c r="E17" s="3"/>
      <c r="F17" s="3">
        <v>105</v>
      </c>
      <c r="G17" s="3">
        <f>Opsætning!$B$4+SUM(Posteringer[[#Headers],[Indtægt]]:Posteringer[[#This Row],[Indtægt]])-SUM(Posteringer[[#Headers],[Udgift]]:Posteringer[[#This Row],[Udgift]])</f>
        <v>21259.5</v>
      </c>
    </row>
    <row r="18" spans="1:7" x14ac:dyDescent="0.3">
      <c r="A18" s="4">
        <v>46298</v>
      </c>
      <c r="B18" t="s">
        <v>64</v>
      </c>
      <c r="C18" t="s">
        <v>65</v>
      </c>
      <c r="D18" t="s">
        <v>31</v>
      </c>
      <c r="E18" s="3"/>
      <c r="F18" s="3">
        <v>750</v>
      </c>
      <c r="G18" s="3">
        <f>Opsætning!$B$4+SUM(Posteringer[[#Headers],[Indtægt]]:Posteringer[[#This Row],[Indtægt]])-SUM(Posteringer[[#Headers],[Udgift]]:Posteringer[[#This Row],[Udgift]])</f>
        <v>20509.5</v>
      </c>
    </row>
    <row r="19" spans="1:7" x14ac:dyDescent="0.3">
      <c r="A19" s="4">
        <v>46340</v>
      </c>
      <c r="B19" t="s">
        <v>66</v>
      </c>
      <c r="C19" t="s">
        <v>67</v>
      </c>
      <c r="D19" t="s">
        <v>41</v>
      </c>
      <c r="E19" s="3"/>
      <c r="F19" s="3">
        <v>2318.4</v>
      </c>
      <c r="G19" s="3">
        <f>Opsætning!$B$4+SUM(Posteringer[[#Headers],[Indtægt]]:Posteringer[[#This Row],[Indtægt]])-SUM(Posteringer[[#Headers],[Udgift]]:Posteringer[[#This Row],[Udgift]])</f>
        <v>18191.099999999999</v>
      </c>
    </row>
    <row r="20" spans="1:7" x14ac:dyDescent="0.3">
      <c r="A20" s="4">
        <v>46361</v>
      </c>
      <c r="B20" t="s">
        <v>68</v>
      </c>
      <c r="C20" t="s">
        <v>69</v>
      </c>
      <c r="D20" t="s">
        <v>51</v>
      </c>
      <c r="E20" s="3"/>
      <c r="F20" s="3">
        <v>684.1</v>
      </c>
      <c r="G20" s="3">
        <f>Opsætning!$B$4+SUM(Posteringer[[#Headers],[Indtægt]]:Posteringer[[#This Row],[Indtægt]])-SUM(Posteringer[[#Headers],[Udgift]]:Posteringer[[#This Row],[Udgift]])</f>
        <v>17507</v>
      </c>
    </row>
    <row r="21" spans="1:7" x14ac:dyDescent="0.3">
      <c r="A21" s="4">
        <v>46387</v>
      </c>
      <c r="B21" t="s">
        <v>70</v>
      </c>
      <c r="C21" t="s">
        <v>71</v>
      </c>
      <c r="D21" t="s">
        <v>71</v>
      </c>
      <c r="E21" s="3">
        <v>12.35</v>
      </c>
      <c r="F21" s="3"/>
      <c r="G21" s="3">
        <f>Opsætning!$B$4+SUM(Posteringer[[#Headers],[Indtægt]]:Posteringer[[#This Row],[Indtægt]])-SUM(Posteringer[[#Headers],[Udgift]]:Posteringer[[#This Row],[Udgift]])</f>
        <v>17519.349999999999</v>
      </c>
    </row>
    <row r="22" spans="1:7" x14ac:dyDescent="0.3">
      <c r="A22" s="4">
        <v>46387</v>
      </c>
      <c r="B22" t="s">
        <v>72</v>
      </c>
      <c r="C22" t="s">
        <v>73</v>
      </c>
      <c r="D22" t="s">
        <v>34</v>
      </c>
      <c r="E22" s="3"/>
      <c r="F22" s="3">
        <v>105</v>
      </c>
      <c r="G22" s="3">
        <f>Opsætning!$B$4+SUM(Posteringer[[#Headers],[Indtægt]]:Posteringer[[#This Row],[Indtægt]])-SUM(Posteringer[[#Headers],[Udgift]]:Posteringer[[#This Row],[Udgift]])</f>
        <v>17414.349999999999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C29F-F7BE-4B81-BA5A-E719A73EDC7D}">
  <dimension ref="A1:E9"/>
  <sheetViews>
    <sheetView workbookViewId="0"/>
  </sheetViews>
  <sheetFormatPr defaultRowHeight="14.4" x14ac:dyDescent="0.3"/>
  <cols>
    <col min="1" max="2" width="18.77734375" customWidth="1"/>
    <col min="3" max="5" width="13.77734375" customWidth="1"/>
  </cols>
  <sheetData>
    <row r="1" spans="1:5" x14ac:dyDescent="0.3">
      <c r="A1" s="1" t="s">
        <v>22</v>
      </c>
      <c r="B1" s="1" t="s">
        <v>74</v>
      </c>
      <c r="C1" s="1" t="s">
        <v>75</v>
      </c>
      <c r="D1" s="1" t="s">
        <v>76</v>
      </c>
      <c r="E1" s="1" t="s">
        <v>77</v>
      </c>
    </row>
    <row r="2" spans="1:5" x14ac:dyDescent="0.3">
      <c r="A2" t="s">
        <v>31</v>
      </c>
      <c r="B2" t="s">
        <v>23</v>
      </c>
      <c r="C2" s="3">
        <f>SUMIFS(Posteringer[Indtægt],Posteringer[Konto],$A2)</f>
        <v>18750</v>
      </c>
      <c r="D2" s="3">
        <f>SUMIFS(Posteringer[Udgift],Posteringer[Konto],$A2)</f>
        <v>750</v>
      </c>
      <c r="E2" s="3">
        <f t="shared" ref="E2:E8" si="0">C2-D2</f>
        <v>18000</v>
      </c>
    </row>
    <row r="3" spans="1:5" x14ac:dyDescent="0.3">
      <c r="A3" t="s">
        <v>51</v>
      </c>
      <c r="B3" t="s">
        <v>78</v>
      </c>
      <c r="C3" s="3">
        <f>SUMIFS(Posteringer[Indtægt],Posteringer[Konto],$A3)</f>
        <v>2400</v>
      </c>
      <c r="D3" s="3">
        <f>SUMIFS(Posteringer[Udgift],Posteringer[Konto],$A3)</f>
        <v>3680.35</v>
      </c>
      <c r="E3" s="3">
        <f t="shared" si="0"/>
        <v>-1280.3499999999999</v>
      </c>
    </row>
    <row r="4" spans="1:5" x14ac:dyDescent="0.3">
      <c r="A4" t="s">
        <v>71</v>
      </c>
      <c r="B4" t="s">
        <v>23</v>
      </c>
      <c r="C4" s="3">
        <f>SUMIFS(Posteringer[Indtægt],Posteringer[Konto],$A4)</f>
        <v>12.35</v>
      </c>
      <c r="D4" s="3">
        <f>SUMIFS(Posteringer[Udgift],Posteringer[Konto],$A4)</f>
        <v>0</v>
      </c>
      <c r="E4" s="3">
        <f t="shared" si="0"/>
        <v>12.35</v>
      </c>
    </row>
    <row r="5" spans="1:5" x14ac:dyDescent="0.3">
      <c r="A5" t="s">
        <v>41</v>
      </c>
      <c r="B5" t="s">
        <v>24</v>
      </c>
      <c r="C5" s="3">
        <f>SUMIFS(Posteringer[Indtægt],Posteringer[Konto],$A5)</f>
        <v>0</v>
      </c>
      <c r="D5" s="3">
        <f>SUMIFS(Posteringer[Udgift],Posteringer[Konto],$A5)</f>
        <v>10005.9</v>
      </c>
      <c r="E5" s="3">
        <f t="shared" si="0"/>
        <v>-10005.9</v>
      </c>
    </row>
    <row r="6" spans="1:5" x14ac:dyDescent="0.3">
      <c r="A6" t="s">
        <v>28</v>
      </c>
      <c r="B6" t="s">
        <v>24</v>
      </c>
      <c r="C6" s="3">
        <f>SUMIFS(Posteringer[Indtægt],Posteringer[Konto],$A6)</f>
        <v>0</v>
      </c>
      <c r="D6" s="3">
        <f>SUMIFS(Posteringer[Udgift],Posteringer[Konto],$A6)</f>
        <v>6240</v>
      </c>
      <c r="E6" s="3">
        <f t="shared" si="0"/>
        <v>-6240</v>
      </c>
    </row>
    <row r="7" spans="1:5" x14ac:dyDescent="0.3">
      <c r="A7" t="s">
        <v>44</v>
      </c>
      <c r="B7" t="s">
        <v>24</v>
      </c>
      <c r="C7" s="3">
        <f>SUMIFS(Posteringer[Indtægt],Posteringer[Konto],$A7)</f>
        <v>0</v>
      </c>
      <c r="D7" s="3">
        <f>SUMIFS(Posteringer[Udgift],Posteringer[Konto],$A7)</f>
        <v>1101.75</v>
      </c>
      <c r="E7" s="3">
        <f t="shared" si="0"/>
        <v>-1101.75</v>
      </c>
    </row>
    <row r="8" spans="1:5" x14ac:dyDescent="0.3">
      <c r="A8" t="s">
        <v>34</v>
      </c>
      <c r="B8" t="s">
        <v>24</v>
      </c>
      <c r="C8" s="3">
        <f>SUMIFS(Posteringer[Indtægt],Posteringer[Konto],$A8)</f>
        <v>0</v>
      </c>
      <c r="D8" s="3">
        <f>SUMIFS(Posteringer[Udgift],Posteringer[Konto],$A8)</f>
        <v>420</v>
      </c>
      <c r="E8" s="3">
        <f t="shared" si="0"/>
        <v>-420</v>
      </c>
    </row>
    <row r="9" spans="1:5" x14ac:dyDescent="0.3">
      <c r="A9" s="1" t="s">
        <v>79</v>
      </c>
      <c r="B9" s="1"/>
      <c r="C9" s="5">
        <f>SUM(C2:C8)</f>
        <v>21162.35</v>
      </c>
      <c r="D9" s="5">
        <f>SUM(D2:D8)</f>
        <v>22198</v>
      </c>
      <c r="E9" s="5">
        <f>SUM(E2:E8)</f>
        <v>-1035.6499999999996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85F0-2F94-4FDD-A9F2-112CC70E56EF}">
  <dimension ref="A1:E14"/>
  <sheetViews>
    <sheetView workbookViewId="0"/>
  </sheetViews>
  <sheetFormatPr defaultRowHeight="14.4" x14ac:dyDescent="0.3"/>
  <cols>
    <col min="1" max="1" width="12.77734375" customWidth="1"/>
    <col min="2" max="4" width="13.77734375" customWidth="1"/>
    <col min="5" max="5" width="14.77734375" customWidth="1"/>
  </cols>
  <sheetData>
    <row r="1" spans="1:5" x14ac:dyDescent="0.3">
      <c r="A1" s="1" t="s">
        <v>80</v>
      </c>
      <c r="B1" s="1" t="s">
        <v>75</v>
      </c>
      <c r="C1" s="1" t="s">
        <v>76</v>
      </c>
      <c r="D1" s="1" t="s">
        <v>77</v>
      </c>
      <c r="E1" s="1" t="s">
        <v>81</v>
      </c>
    </row>
    <row r="2" spans="1:5" x14ac:dyDescent="0.3">
      <c r="A2" s="6">
        <v>46023</v>
      </c>
      <c r="B2" s="3">
        <f>SUMIFS(Posteringer[Indtægt],Posteringer[Dato],"&gt;="&amp;$A2,Posteringer[Dato],"&lt;"&amp;EOMONTH($A2,0)+1)</f>
        <v>9000</v>
      </c>
      <c r="C2" s="3">
        <f>SUMIFS(Posteringer[Udgift],Posteringer[Dato],"&gt;="&amp;$A2,Posteringer[Dato],"&lt;"&amp;EOMONTH($A2,0)+1)</f>
        <v>6275</v>
      </c>
      <c r="D2" s="3">
        <f t="shared" ref="D2:D13" si="0">B2-C2</f>
        <v>2725</v>
      </c>
      <c r="E2" s="3">
        <f>Opsætning!$B$4+SUM($D$2:D2)</f>
        <v>21175</v>
      </c>
    </row>
    <row r="3" spans="1:5" x14ac:dyDescent="0.3">
      <c r="A3" s="6">
        <v>46054</v>
      </c>
      <c r="B3" s="3">
        <f>SUMIFS(Posteringer[Indtægt],Posteringer[Dato],"&gt;="&amp;$A3,Posteringer[Dato],"&lt;"&amp;EOMONTH($A3,0)+1)</f>
        <v>750</v>
      </c>
      <c r="C3" s="3">
        <f>SUMIFS(Posteringer[Udgift],Posteringer[Dato],"&gt;="&amp;$A3,Posteringer[Dato],"&lt;"&amp;EOMONTH($A3,0)+1)</f>
        <v>35</v>
      </c>
      <c r="D3" s="3">
        <f t="shared" si="0"/>
        <v>715</v>
      </c>
      <c r="E3" s="3">
        <f>Opsætning!$B$4+SUM($D$2:D3)</f>
        <v>21890</v>
      </c>
    </row>
    <row r="4" spans="1:5" x14ac:dyDescent="0.3">
      <c r="A4" s="6">
        <v>46082</v>
      </c>
      <c r="B4" s="3">
        <f>SUMIFS(Posteringer[Indtægt],Posteringer[Dato],"&gt;="&amp;$A4,Posteringer[Dato],"&lt;"&amp;EOMONTH($A4,0)+1)</f>
        <v>0</v>
      </c>
      <c r="C4" s="3">
        <f>SUMIFS(Posteringer[Udgift],Posteringer[Dato],"&gt;="&amp;$A4,Posteringer[Dato],"&lt;"&amp;EOMONTH($A4,0)+1)</f>
        <v>3835.25</v>
      </c>
      <c r="D4" s="3">
        <f t="shared" si="0"/>
        <v>-3835.25</v>
      </c>
      <c r="E4" s="3">
        <f>Opsætning!$B$4+SUM($D$2:D4)</f>
        <v>18054.75</v>
      </c>
    </row>
    <row r="5" spans="1:5" x14ac:dyDescent="0.3">
      <c r="A5" s="6">
        <v>46113</v>
      </c>
      <c r="B5" s="3">
        <f>SUMIFS(Posteringer[Indtægt],Posteringer[Dato],"&gt;="&amp;$A5,Posteringer[Dato],"&lt;"&amp;EOMONTH($A5,0)+1)</f>
        <v>0</v>
      </c>
      <c r="C5" s="3">
        <f>SUMIFS(Posteringer[Udgift],Posteringer[Dato],"&gt;="&amp;$A5,Posteringer[Dato],"&lt;"&amp;EOMONTH($A5,0)+1)</f>
        <v>489</v>
      </c>
      <c r="D5" s="3">
        <f t="shared" si="0"/>
        <v>-489</v>
      </c>
      <c r="E5" s="3">
        <f>Opsætning!$B$4+SUM($D$2:D5)</f>
        <v>17565.75</v>
      </c>
    </row>
    <row r="6" spans="1:5" x14ac:dyDescent="0.3">
      <c r="A6" s="6">
        <v>46143</v>
      </c>
      <c r="B6" s="3">
        <f>SUMIFS(Posteringer[Indtægt],Posteringer[Dato],"&gt;="&amp;$A6,Posteringer[Dato],"&lt;"&amp;EOMONTH($A6,0)+1)</f>
        <v>0</v>
      </c>
      <c r="C6" s="3">
        <f>SUMIFS(Posteringer[Udgift],Posteringer[Dato],"&gt;="&amp;$A6,Posteringer[Dato],"&lt;"&amp;EOMONTH($A6,0)+1)</f>
        <v>1146.25</v>
      </c>
      <c r="D6" s="3">
        <f t="shared" si="0"/>
        <v>-1146.25</v>
      </c>
      <c r="E6" s="3">
        <f>Opsætning!$B$4+SUM($D$2:D6)</f>
        <v>16419.5</v>
      </c>
    </row>
    <row r="7" spans="1:5" x14ac:dyDescent="0.3">
      <c r="A7" s="6">
        <v>46174</v>
      </c>
      <c r="B7" s="3">
        <f>SUMIFS(Posteringer[Indtægt],Posteringer[Dato],"&gt;="&amp;$A7,Posteringer[Dato],"&lt;"&amp;EOMONTH($A7,0)+1)</f>
        <v>2400</v>
      </c>
      <c r="C7" s="3">
        <f>SUMIFS(Posteringer[Udgift],Posteringer[Dato],"&gt;="&amp;$A7,Posteringer[Dato],"&lt;"&amp;EOMONTH($A7,0)+1)</f>
        <v>1955</v>
      </c>
      <c r="D7" s="3">
        <f t="shared" si="0"/>
        <v>445</v>
      </c>
      <c r="E7" s="3">
        <f>Opsætning!$B$4+SUM($D$2:D7)</f>
        <v>16864.5</v>
      </c>
    </row>
    <row r="8" spans="1:5" x14ac:dyDescent="0.3">
      <c r="A8" s="6">
        <v>46204</v>
      </c>
      <c r="B8" s="3">
        <f>SUMIFS(Posteringer[Indtægt],Posteringer[Dato],"&gt;="&amp;$A8,Posteringer[Dato],"&lt;"&amp;EOMONTH($A8,0)+1)</f>
        <v>9000</v>
      </c>
      <c r="C8" s="3">
        <f>SUMIFS(Posteringer[Udgift],Posteringer[Dato],"&gt;="&amp;$A8,Posteringer[Dato],"&lt;"&amp;EOMONTH($A8,0)+1)</f>
        <v>0</v>
      </c>
      <c r="D8" s="3">
        <f t="shared" si="0"/>
        <v>9000</v>
      </c>
      <c r="E8" s="3">
        <f>Opsætning!$B$4+SUM($D$2:D8)</f>
        <v>25864.5</v>
      </c>
    </row>
    <row r="9" spans="1:5" x14ac:dyDescent="0.3">
      <c r="A9" s="6">
        <v>46235</v>
      </c>
      <c r="B9" s="3">
        <f>SUMIFS(Posteringer[Indtægt],Posteringer[Dato],"&gt;="&amp;$A9,Posteringer[Dato],"&lt;"&amp;EOMONTH($A9,0)+1)</f>
        <v>0</v>
      </c>
      <c r="C9" s="3">
        <f>SUMIFS(Posteringer[Udgift],Posteringer[Dato],"&gt;="&amp;$A9,Posteringer[Dato],"&lt;"&amp;EOMONTH($A9,0)+1)</f>
        <v>4500</v>
      </c>
      <c r="D9" s="3">
        <f t="shared" si="0"/>
        <v>-4500</v>
      </c>
      <c r="E9" s="3">
        <f>Opsætning!$B$4+SUM($D$2:D9)</f>
        <v>21364.5</v>
      </c>
    </row>
    <row r="10" spans="1:5" x14ac:dyDescent="0.3">
      <c r="A10" s="6">
        <v>46266</v>
      </c>
      <c r="B10" s="3">
        <f>SUMIFS(Posteringer[Indtægt],Posteringer[Dato],"&gt;="&amp;$A10,Posteringer[Dato],"&lt;"&amp;EOMONTH($A10,0)+1)</f>
        <v>0</v>
      </c>
      <c r="C10" s="3">
        <f>SUMIFS(Posteringer[Udgift],Posteringer[Dato],"&gt;="&amp;$A10,Posteringer[Dato],"&lt;"&amp;EOMONTH($A10,0)+1)</f>
        <v>105</v>
      </c>
      <c r="D10" s="3">
        <f t="shared" si="0"/>
        <v>-105</v>
      </c>
      <c r="E10" s="3">
        <f>Opsætning!$B$4+SUM($D$2:D10)</f>
        <v>21259.5</v>
      </c>
    </row>
    <row r="11" spans="1:5" x14ac:dyDescent="0.3">
      <c r="A11" s="6">
        <v>46296</v>
      </c>
      <c r="B11" s="3">
        <f>SUMIFS(Posteringer[Indtægt],Posteringer[Dato],"&gt;="&amp;$A11,Posteringer[Dato],"&lt;"&amp;EOMONTH($A11,0)+1)</f>
        <v>0</v>
      </c>
      <c r="C11" s="3">
        <f>SUMIFS(Posteringer[Udgift],Posteringer[Dato],"&gt;="&amp;$A11,Posteringer[Dato],"&lt;"&amp;EOMONTH($A11,0)+1)</f>
        <v>750</v>
      </c>
      <c r="D11" s="3">
        <f t="shared" si="0"/>
        <v>-750</v>
      </c>
      <c r="E11" s="3">
        <f>Opsætning!$B$4+SUM($D$2:D11)</f>
        <v>20509.5</v>
      </c>
    </row>
    <row r="12" spans="1:5" x14ac:dyDescent="0.3">
      <c r="A12" s="6">
        <v>46327</v>
      </c>
      <c r="B12" s="3">
        <f>SUMIFS(Posteringer[Indtægt],Posteringer[Dato],"&gt;="&amp;$A12,Posteringer[Dato],"&lt;"&amp;EOMONTH($A12,0)+1)</f>
        <v>0</v>
      </c>
      <c r="C12" s="3">
        <f>SUMIFS(Posteringer[Udgift],Posteringer[Dato],"&gt;="&amp;$A12,Posteringer[Dato],"&lt;"&amp;EOMONTH($A12,0)+1)</f>
        <v>2318.4</v>
      </c>
      <c r="D12" s="3">
        <f t="shared" si="0"/>
        <v>-2318.4</v>
      </c>
      <c r="E12" s="3">
        <f>Opsætning!$B$4+SUM($D$2:D12)</f>
        <v>18191.099999999999</v>
      </c>
    </row>
    <row r="13" spans="1:5" x14ac:dyDescent="0.3">
      <c r="A13" s="6">
        <v>46357</v>
      </c>
      <c r="B13" s="3">
        <f>SUMIFS(Posteringer[Indtægt],Posteringer[Dato],"&gt;="&amp;$A13,Posteringer[Dato],"&lt;"&amp;EOMONTH($A13,0)+1)</f>
        <v>12.35</v>
      </c>
      <c r="C13" s="3">
        <f>SUMIFS(Posteringer[Udgift],Posteringer[Dato],"&gt;="&amp;$A13,Posteringer[Dato],"&lt;"&amp;EOMONTH($A13,0)+1)</f>
        <v>789.1</v>
      </c>
      <c r="D13" s="3">
        <f t="shared" si="0"/>
        <v>-776.75</v>
      </c>
      <c r="E13" s="3">
        <f>Opsætning!$B$4+SUM($D$2:D13)</f>
        <v>17414.349999999999</v>
      </c>
    </row>
    <row r="14" spans="1:5" x14ac:dyDescent="0.3">
      <c r="A14" s="1" t="s">
        <v>79</v>
      </c>
      <c r="B14" s="5">
        <f>SUM(B2:B13)</f>
        <v>21162.35</v>
      </c>
      <c r="C14" s="5">
        <f>SUM(C2:C13)</f>
        <v>22198</v>
      </c>
      <c r="D14" s="5">
        <f>SUM(D2:D13)</f>
        <v>-1035.6500000000001</v>
      </c>
      <c r="E1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600A-77B4-44C4-BB09-F7A3DF22F258}">
  <dimension ref="A1:B21"/>
  <sheetViews>
    <sheetView workbookViewId="0"/>
  </sheetViews>
  <sheetFormatPr defaultRowHeight="14.4" x14ac:dyDescent="0.3"/>
  <cols>
    <col min="1" max="1" width="44.77734375" customWidth="1"/>
    <col min="2" max="2" width="16.77734375" customWidth="1"/>
  </cols>
  <sheetData>
    <row r="1" spans="1:2" x14ac:dyDescent="0.3">
      <c r="A1" s="1" t="s">
        <v>82</v>
      </c>
      <c r="B1" s="1" t="s">
        <v>83</v>
      </c>
    </row>
    <row r="2" spans="1:2" x14ac:dyDescent="0.3">
      <c r="A2" t="s">
        <v>84</v>
      </c>
      <c r="B2" s="3">
        <f>Opsætning!B4</f>
        <v>18450</v>
      </c>
    </row>
    <row r="3" spans="1:2" x14ac:dyDescent="0.3">
      <c r="A3" t="s">
        <v>85</v>
      </c>
      <c r="B3" s="3">
        <f>SUM(Posteringer[Indtægt])</f>
        <v>21162.35</v>
      </c>
    </row>
    <row r="4" spans="1:2" x14ac:dyDescent="0.3">
      <c r="A4" t="s">
        <v>86</v>
      </c>
      <c r="B4" s="3">
        <f>SUM(Posteringer[Udgift])</f>
        <v>22198</v>
      </c>
    </row>
    <row r="5" spans="1:2" x14ac:dyDescent="0.3">
      <c r="A5" t="s">
        <v>87</v>
      </c>
      <c r="B5" s="3">
        <f>B2+B3-B4</f>
        <v>17414.349999999999</v>
      </c>
    </row>
    <row r="6" spans="1:2" x14ac:dyDescent="0.3">
      <c r="A6" t="s">
        <v>88</v>
      </c>
      <c r="B6" s="3" cm="1">
        <f t="array" ref="B6">INDEX(Posteringer[Saldo],ROWS(Posteringer[Saldo]))</f>
        <v>17414.349999999999</v>
      </c>
    </row>
    <row r="7" spans="1:2" x14ac:dyDescent="0.3">
      <c r="A7" t="s">
        <v>89</v>
      </c>
      <c r="B7" s="3">
        <v>17414.349999999999</v>
      </c>
    </row>
    <row r="9" spans="1:2" x14ac:dyDescent="0.3">
      <c r="A9" s="1" t="s">
        <v>90</v>
      </c>
      <c r="B9" s="1" t="s">
        <v>91</v>
      </c>
    </row>
    <row r="10" spans="1:2" x14ac:dyDescent="0.3">
      <c r="A10" t="s">
        <v>92</v>
      </c>
      <c r="B10" t="str">
        <f>IF(ROUND('Pr. konto'!E9-(B3-B4),2)=0,"OK","Afviger")</f>
        <v>OK</v>
      </c>
    </row>
    <row r="11" spans="1:2" x14ac:dyDescent="0.3">
      <c r="A11" t="s">
        <v>93</v>
      </c>
      <c r="B11" t="str">
        <f>IF(ROUND('Pr. måned'!D14-(B3-B4),2)=0,"OK","Afviger")</f>
        <v>OK</v>
      </c>
    </row>
    <row r="12" spans="1:2" x14ac:dyDescent="0.3">
      <c r="A12" t="s">
        <v>94</v>
      </c>
      <c r="B12" t="str">
        <f>IF(ROUND(B6-B5,2)=0,"OK","Afviger")</f>
        <v>OK</v>
      </c>
    </row>
    <row r="13" spans="1:2" x14ac:dyDescent="0.3">
      <c r="A13" t="s">
        <v>95</v>
      </c>
      <c r="B13" t="str">
        <f>IF(ROUND(B7-B5,2)=0,"OK","Afviger med "&amp;TEXT(B7-B5,"#.##0,00"))</f>
        <v>OK</v>
      </c>
    </row>
    <row r="14" spans="1:2" x14ac:dyDescent="0.3">
      <c r="A14" t="s">
        <v>96</v>
      </c>
      <c r="B14" cm="1">
        <f t="array" ref="B14">SUMPRODUCT(--(COUNTIF('Pr. konto'!$A$2:$A$8,Posteringer[Konto])=0))</f>
        <v>0</v>
      </c>
    </row>
    <row r="15" spans="1:2" x14ac:dyDescent="0.3">
      <c r="A15" t="s">
        <v>97</v>
      </c>
      <c r="B15">
        <f>COUNTBLANK(Posteringer[Dato])</f>
        <v>0</v>
      </c>
    </row>
    <row r="16" spans="1:2" x14ac:dyDescent="0.3">
      <c r="A16" t="s">
        <v>98</v>
      </c>
      <c r="B16">
        <f>COUNTA(Posteringer[[Indtægt]:[Udgift]])-COUNT(Posteringer[[Indtægt]:[Udgift]])</f>
        <v>0</v>
      </c>
    </row>
    <row r="17" spans="1:2" x14ac:dyDescent="0.3">
      <c r="A17" t="s">
        <v>99</v>
      </c>
      <c r="B17">
        <f>COUNTIFS(Posteringer[Indtægt],"&lt;&gt;",Posteringer[Udgift],"&lt;&gt;")</f>
        <v>0</v>
      </c>
    </row>
    <row r="19" spans="1:2" x14ac:dyDescent="0.3">
      <c r="A19" t="s">
        <v>100</v>
      </c>
      <c r="B19" t="b">
        <f>'Pr. konto'!E9=B3-B4</f>
        <v>1</v>
      </c>
    </row>
    <row r="20" spans="1:2" x14ac:dyDescent="0.3">
      <c r="B20" t="b">
        <f>B6=B5</f>
        <v>1</v>
      </c>
    </row>
    <row r="21" spans="1:2" x14ac:dyDescent="0.3">
      <c r="B21" s="3">
        <f>'Pr. konto'!E9-(B3-B4)</f>
        <v>1.8189894035458565E-12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Om filen</vt:lpstr>
      <vt:lpstr>Opsætning</vt:lpstr>
      <vt:lpstr>Kassebog</vt:lpstr>
      <vt:lpstr>Pr. konto</vt:lpstr>
      <vt:lpstr>Pr. måned</vt:lpstr>
      <vt:lpstr>Kontrol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Kassebog for en lille forening</dc:title>
  <dc:creator/>
  <cp:lastModifiedBy/>
  <dcterms:created xsi:type="dcterms:W3CDTF">2026-09-17T13:17:41Z</dcterms:created>
  <dcterms:modified xsi:type="dcterms:W3CDTF">2026-09-17T13:17:47Z</dcterms:modified>
</cp:coreProperties>
</file>